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niel.sigg\Documents\Protel\PZTDriver\Project Outputs for PZTDewhiteInterface\"/>
    </mc:Choice>
  </mc:AlternateContent>
  <xr:revisionPtr revIDLastSave="0" documentId="8_{9774055F-6AB1-4DF8-8012-B9ACEEE578C0}" xr6:coauthVersionLast="47" xr6:coauthVersionMax="47" xr10:uidLastSave="{00000000-0000-0000-0000-000000000000}"/>
  <bookViews>
    <workbookView xWindow="720" yWindow="450" windowWidth="35520" windowHeight="20550" xr2:uid="{00000000-000D-0000-FFFF-FFFF00000000}"/>
  </bookViews>
  <sheets>
    <sheet name="Part List Repor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7" i="3" l="1"/>
  <c r="L17" i="3"/>
  <c r="M16" i="3"/>
  <c r="L16" i="3"/>
  <c r="M15" i="3"/>
  <c r="L15" i="3"/>
  <c r="M14" i="3"/>
  <c r="L14" i="3"/>
  <c r="M13" i="3"/>
  <c r="N13" i="3" s="1"/>
  <c r="O13" i="3" s="1"/>
  <c r="L13" i="3"/>
  <c r="M12" i="3"/>
  <c r="L12" i="3"/>
  <c r="N12" i="3" s="1"/>
  <c r="O12" i="3" s="1"/>
  <c r="L11" i="3"/>
  <c r="M11" i="3"/>
  <c r="M10" i="3"/>
  <c r="L10" i="3"/>
  <c r="G28" i="3"/>
  <c r="G27" i="3"/>
  <c r="G26" i="3"/>
  <c r="G25" i="3"/>
  <c r="G24" i="3"/>
  <c r="G23" i="3"/>
  <c r="B18" i="3"/>
  <c r="F8" i="3"/>
  <c r="G8" i="3"/>
  <c r="N14" i="3" l="1"/>
  <c r="O14" i="3" s="1"/>
  <c r="N15" i="3"/>
  <c r="O15" i="3" s="1"/>
  <c r="N16" i="3"/>
  <c r="O16" i="3" s="1"/>
  <c r="N17" i="3"/>
  <c r="O17" i="3" s="1"/>
  <c r="N11" i="3"/>
  <c r="N10" i="3"/>
  <c r="O11" i="3"/>
  <c r="O10" i="3"/>
</calcChain>
</file>

<file path=xl/sharedStrings.xml><?xml version="1.0" encoding="utf-8"?>
<sst xmlns="http://schemas.openxmlformats.org/spreadsheetml/2006/main" count="101" uniqueCount="90">
  <si>
    <t>Project:</t>
  </si>
  <si>
    <t>Print Date:</t>
  </si>
  <si>
    <t>Report Date:</t>
  </si>
  <si>
    <t>Total # of unique parts</t>
  </si>
  <si>
    <t>SMT Placements per board</t>
  </si>
  <si>
    <t>Thru-Hole placement per board</t>
  </si>
  <si>
    <t>Fine pitch placement per board</t>
  </si>
  <si>
    <t>BGA placement per board</t>
  </si>
  <si>
    <t>Summary per Board</t>
  </si>
  <si>
    <t>Total pieces</t>
  </si>
  <si>
    <t>Quantity to Order</t>
  </si>
  <si>
    <t>Author:</t>
  </si>
  <si>
    <t>Revision</t>
  </si>
  <si>
    <t>LIGO Project</t>
  </si>
  <si>
    <t>Bill of Materials</t>
  </si>
  <si>
    <t>Number of boards</t>
  </si>
  <si>
    <t>Mechanical placement per board</t>
  </si>
  <si>
    <t>Extra</t>
  </si>
  <si>
    <t>Excess</t>
  </si>
  <si>
    <t>Add</t>
  </si>
  <si>
    <t>D2500196</t>
  </si>
  <si>
    <t>2</t>
  </si>
  <si>
    <t>PZTDewhiteInterface.PrjPcb</t>
  </si>
  <si>
    <t>4</t>
  </si>
  <si>
    <t/>
  </si>
  <si>
    <t>1/12/2026</t>
  </si>
  <si>
    <t>3:31 PM</t>
  </si>
  <si>
    <t>Quantity</t>
  </si>
  <si>
    <t>Manufacturer 1</t>
  </si>
  <si>
    <t>Samsung</t>
  </si>
  <si>
    <t>Keystone</t>
  </si>
  <si>
    <t>Amphenol Communications Solutions</t>
  </si>
  <si>
    <t>TE Connectivity AMP</t>
  </si>
  <si>
    <t>TE Connectivity</t>
  </si>
  <si>
    <t>Molex</t>
  </si>
  <si>
    <t>Manufacturer Part Number 1</t>
  </si>
  <si>
    <t>CL21B105KBFNFNE</t>
  </si>
  <si>
    <t>D15P33E4PA00LF</t>
  </si>
  <si>
    <t>5747843-2</t>
  </si>
  <si>
    <t>5747847-6</t>
  </si>
  <si>
    <t>5227839-1</t>
  </si>
  <si>
    <t>Supplier 1</t>
  </si>
  <si>
    <t>Digikey</t>
  </si>
  <si>
    <t>DigiKey</t>
  </si>
  <si>
    <t>Supplier Part Number 1</t>
  </si>
  <si>
    <t>1276-2928-1-ND</t>
  </si>
  <si>
    <t>36-708-ND</t>
  </si>
  <si>
    <t>609-6495-ND</t>
  </si>
  <si>
    <t>5747843-2-ND</t>
  </si>
  <si>
    <t>A32130-ND</t>
  </si>
  <si>
    <t>900-0732517040-ND</t>
  </si>
  <si>
    <t>A32444-ND</t>
  </si>
  <si>
    <t>Name</t>
  </si>
  <si>
    <t>1u</t>
  </si>
  <si>
    <t>Bracket</t>
  </si>
  <si>
    <t>DB15M</t>
  </si>
  <si>
    <t>DB37M</t>
  </si>
  <si>
    <t>DB37F</t>
  </si>
  <si>
    <t>NL</t>
  </si>
  <si>
    <t>SMA</t>
  </si>
  <si>
    <t>TNC</t>
  </si>
  <si>
    <t>Description</t>
  </si>
  <si>
    <t>Capacitor, surface mount</t>
  </si>
  <si>
    <t>Keystone Electronics right-angle 6-32 steel, 708</t>
  </si>
  <si>
    <t>Plug Assembly, 15 Position, Right Angle, .318 Series</t>
  </si>
  <si>
    <t>Plug Assembly, 37 Position, Right Angle, .318 Series</t>
  </si>
  <si>
    <t>Receptacle Assembly, 37 Position, Right Angle, .318 Series</t>
  </si>
  <si>
    <t>Resistor, surface mount</t>
  </si>
  <si>
    <t>SMA, PCB Mount, Straight</t>
  </si>
  <si>
    <t>TNC, PCB Mount, Right Angle</t>
  </si>
  <si>
    <t>Designator</t>
  </si>
  <si>
    <t>C1</t>
  </si>
  <si>
    <t>B1</t>
  </si>
  <si>
    <t>J9</t>
  </si>
  <si>
    <t>J7</t>
  </si>
  <si>
    <t>J8</t>
  </si>
  <si>
    <t>R1</t>
  </si>
  <si>
    <t>J10, J11</t>
  </si>
  <si>
    <t>J1, J2, J3, J4, J5, J6</t>
  </si>
  <si>
    <t>Footprint</t>
  </si>
  <si>
    <t>CC2013-0805</t>
  </si>
  <si>
    <t>Bracket-RA_708</t>
  </si>
  <si>
    <t>DB15M-RA</t>
  </si>
  <si>
    <t>DB37M-RA</t>
  </si>
  <si>
    <t>DB37F-RA</t>
  </si>
  <si>
    <t>CR2012-0805</t>
  </si>
  <si>
    <t>TNC2</t>
  </si>
  <si>
    <t>Assembly Type</t>
  </si>
  <si>
    <t>M</t>
  </si>
  <si>
    <t>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</si>
</sst>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2"/>
      <color indexed="10"/>
      <name val="Arial"/>
      <family val="2"/>
    </font>
    <font>
      <b/>
      <sz val="16"/>
      <color indexed="48"/>
      <name val="Arial"/>
      <family val="2"/>
    </font>
    <font>
      <b/>
      <sz val="18"/>
      <color indexed="4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5" fillId="2" borderId="0" xfId="0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4" fillId="2" borderId="3" xfId="0" applyFont="1" applyFill="1" applyBorder="1"/>
    <xf numFmtId="0" fontId="4" fillId="2" borderId="0" xfId="0" applyFont="1" applyFill="1"/>
    <xf numFmtId="0" fontId="6" fillId="2" borderId="2" xfId="0" applyFont="1" applyFill="1" applyBorder="1"/>
    <xf numFmtId="0" fontId="0" fillId="0" borderId="4" xfId="0" applyBorder="1" applyAlignment="1">
      <alignment vertical="top"/>
    </xf>
    <xf numFmtId="0" fontId="9" fillId="2" borderId="0" xfId="0" applyFont="1" applyFill="1" applyAlignment="1">
      <alignment horizontal="left"/>
    </xf>
    <xf numFmtId="0" fontId="11" fillId="2" borderId="5" xfId="0" applyFont="1" applyFill="1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4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4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0" fillId="0" borderId="3" xfId="0" applyBorder="1" applyAlignment="1">
      <alignment vertical="top"/>
    </xf>
    <xf numFmtId="0" fontId="10" fillId="2" borderId="8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164" fontId="6" fillId="2" borderId="0" xfId="0" applyNumberFormat="1" applyFont="1" applyFill="1" applyAlignment="1">
      <alignment horizontal="left"/>
    </xf>
    <xf numFmtId="0" fontId="0" fillId="4" borderId="4" xfId="0" applyFill="1" applyBorder="1" applyAlignment="1">
      <alignment vertical="top"/>
    </xf>
    <xf numFmtId="0" fontId="0" fillId="4" borderId="12" xfId="0" applyFill="1" applyBorder="1" applyAlignment="1">
      <alignment vertical="top"/>
    </xf>
    <xf numFmtId="1" fontId="0" fillId="4" borderId="12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2" borderId="5" xfId="0" applyFont="1" applyFill="1" applyBorder="1" applyAlignment="1">
      <alignment vertic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right" vertical="center"/>
    </xf>
    <xf numFmtId="1" fontId="15" fillId="3" borderId="18" xfId="0" applyNumberFormat="1" applyFont="1" applyFill="1" applyBorder="1" applyAlignment="1">
      <alignment horizontal="center" vertical="top"/>
    </xf>
    <xf numFmtId="0" fontId="15" fillId="3" borderId="19" xfId="0" applyFont="1" applyFill="1" applyBorder="1" applyAlignment="1">
      <alignment vertical="top"/>
    </xf>
    <xf numFmtId="0" fontId="15" fillId="3" borderId="20" xfId="0" applyFont="1" applyFill="1" applyBorder="1" applyAlignment="1">
      <alignment vertical="top"/>
    </xf>
    <xf numFmtId="0" fontId="15" fillId="0" borderId="0" xfId="0" applyFont="1"/>
    <xf numFmtId="49" fontId="15" fillId="0" borderId="0" xfId="0" applyNumberFormat="1" applyFont="1" applyAlignment="1">
      <alignment wrapText="1"/>
    </xf>
    <xf numFmtId="9" fontId="15" fillId="0" borderId="0" xfId="0" applyNumberFormat="1" applyFont="1"/>
    <xf numFmtId="1" fontId="15" fillId="0" borderId="0" xfId="0" applyNumberFormat="1" applyFont="1"/>
    <xf numFmtId="1" fontId="15" fillId="3" borderId="2" xfId="0" applyNumberFormat="1" applyFont="1" applyFill="1" applyBorder="1" applyAlignment="1">
      <alignment horizontal="center" vertical="top"/>
    </xf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6" fillId="2" borderId="0" xfId="0" applyNumberFormat="1" applyFont="1" applyFill="1" applyAlignment="1">
      <alignment horizontal="left"/>
    </xf>
    <xf numFmtId="0" fontId="0" fillId="0" borderId="0" xfId="0"/>
    <xf numFmtId="0" fontId="12" fillId="6" borderId="9" xfId="0" applyFont="1" applyFill="1" applyBorder="1" applyAlignment="1">
      <alignment horizontal="center" vertical="top" wrapText="1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10" fillId="2" borderId="5" xfId="0" quotePrefix="1" applyFont="1" applyFill="1" applyBorder="1" applyAlignment="1">
      <alignment vertical="center"/>
    </xf>
    <xf numFmtId="0" fontId="14" fillId="0" borderId="5" xfId="0" quotePrefix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1" fontId="1" fillId="5" borderId="7" xfId="0" quotePrefix="1" applyNumberFormat="1" applyFont="1" applyFill="1" applyBorder="1" applyAlignment="1">
      <alignment horizontal="right" vertical="center"/>
    </xf>
    <xf numFmtId="0" fontId="9" fillId="2" borderId="2" xfId="0" quotePrefix="1" applyFont="1" applyFill="1" applyBorder="1" applyAlignment="1">
      <alignment horizontal="left"/>
    </xf>
    <xf numFmtId="0" fontId="6" fillId="2" borderId="2" xfId="0" quotePrefix="1" applyFont="1" applyFill="1" applyBorder="1" applyAlignment="1">
      <alignment horizontal="left"/>
    </xf>
  </cellXfs>
  <cellStyles count="1">
    <cellStyle name="Normal" xfId="0" builtinId="0"/>
  </cellStyles>
  <dxfs count="20"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13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B9:O18" totalsRowShown="0" headerRowDxfId="19" dataDxfId="17" headerRowBorderDxfId="18" tableBorderDxfId="16">
  <autoFilter ref="B9:O18" xr:uid="{00000000-0009-0000-0100-000002000000}"/>
  <tableColumns count="14">
    <tableColumn id="1" xr3:uid="{00000000-0010-0000-0000-000001000000}" name="Quantity" dataDxfId="15"/>
    <tableColumn id="13" xr3:uid="{E63D2325-985C-42DA-B8D6-1DEE83CC2C12}" name="Manufacturer 1" dataDxfId="14"/>
    <tableColumn id="14" xr3:uid="{99B152BA-3BCD-4256-B3DD-EB9E28C53A85}" name="Manufacturer Part Number 1" dataDxfId="13"/>
    <tableColumn id="2" xr3:uid="{00000000-0010-0000-0000-000002000000}" name="Supplier 1" dataDxfId="12"/>
    <tableColumn id="3" xr3:uid="{00000000-0010-0000-0000-000003000000}" name="Supplier Part Number 1" dataDxfId="11"/>
    <tableColumn id="4" xr3:uid="{00000000-0010-0000-0000-000004000000}" name="Name" dataDxfId="10"/>
    <tableColumn id="5" xr3:uid="{00000000-0010-0000-0000-000005000000}" name="Description" dataDxfId="9"/>
    <tableColumn id="6" xr3:uid="{00000000-0010-0000-0000-000006000000}" name="Designator" dataDxfId="8"/>
    <tableColumn id="7" xr3:uid="{00000000-0010-0000-0000-000007000000}" name="Footprint" dataDxfId="7"/>
    <tableColumn id="8" xr3:uid="{00000000-0010-0000-0000-000008000000}" name="Assembly Type" dataDxfId="6"/>
    <tableColumn id="9" xr3:uid="{00000000-0010-0000-0000-000009000000}" name="Extra" dataDxfId="5"/>
    <tableColumn id="10" xr3:uid="{00000000-0010-0000-0000-00000A000000}" name="Excess" dataDxfId="4"/>
    <tableColumn id="11" xr3:uid="{00000000-0010-0000-0000-00000B000000}" name="Add" dataDxfId="3"/>
    <tableColumn id="12" xr3:uid="{00000000-0010-0000-0000-00000C000000}" name="Quantity to Order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28"/>
  <sheetViews>
    <sheetView showGridLines="0" tabSelected="1" zoomScaleNormal="100" workbookViewId="0">
      <selection activeCell="H22" sqref="H22"/>
    </sheetView>
  </sheetViews>
  <sheetFormatPr defaultColWidth="9.1796875" defaultRowHeight="12.5" x14ac:dyDescent="0.25"/>
  <cols>
    <col min="1" max="1" width="0.81640625" style="1" customWidth="1"/>
    <col min="2" max="2" width="7.26953125" style="3" customWidth="1"/>
    <col min="3" max="4" width="23.1796875" style="3" customWidth="1"/>
    <col min="5" max="5" width="18.54296875" style="3" customWidth="1"/>
    <col min="6" max="6" width="24.81640625" style="1" customWidth="1"/>
    <col min="7" max="7" width="18" style="1" customWidth="1"/>
    <col min="8" max="8" width="30.7265625" style="1" customWidth="1"/>
    <col min="9" max="9" width="74.54296875" style="1" customWidth="1"/>
    <col min="10" max="10" width="17.26953125" style="1" customWidth="1"/>
    <col min="11" max="11" width="5.453125" style="1" customWidth="1"/>
    <col min="12" max="12" width="7" style="1" customWidth="1"/>
    <col min="13" max="13" width="8.7265625" style="1" customWidth="1"/>
    <col min="14" max="14" width="6.7265625" style="1" customWidth="1"/>
    <col min="15" max="15" width="12.54296875" style="1" customWidth="1"/>
    <col min="16" max="16384" width="9.1796875" style="1"/>
  </cols>
  <sheetData>
    <row r="1" spans="1:15" ht="4.5" customHeight="1" thickBot="1" x14ac:dyDescent="0.3">
      <c r="A1" s="14"/>
      <c r="B1" s="14"/>
      <c r="C1" s="14"/>
      <c r="D1" s="14"/>
      <c r="E1" s="14"/>
      <c r="F1" s="14"/>
      <c r="G1" s="14"/>
      <c r="H1" s="14"/>
      <c r="I1" s="14"/>
      <c r="J1" s="14"/>
    </row>
    <row r="2" spans="1:15" ht="37.5" customHeight="1" x14ac:dyDescent="0.25">
      <c r="A2" s="13"/>
      <c r="B2" s="25" t="s">
        <v>14</v>
      </c>
      <c r="C2" s="38"/>
      <c r="D2" s="38"/>
      <c r="E2" s="26"/>
      <c r="F2" s="18"/>
      <c r="G2" s="22" t="s">
        <v>13</v>
      </c>
      <c r="H2" s="18"/>
      <c r="I2" s="58" t="s">
        <v>20</v>
      </c>
      <c r="J2" s="22" t="s">
        <v>12</v>
      </c>
      <c r="K2" s="59" t="s">
        <v>21</v>
      </c>
      <c r="L2" s="23"/>
      <c r="M2" s="23"/>
      <c r="N2" s="23"/>
      <c r="O2" s="19"/>
    </row>
    <row r="3" spans="1:15" ht="23.25" customHeight="1" x14ac:dyDescent="0.35">
      <c r="A3" s="13"/>
      <c r="B3" s="12"/>
      <c r="C3" s="12"/>
      <c r="D3" s="12"/>
      <c r="E3" s="5"/>
      <c r="F3" s="17"/>
      <c r="G3" s="4"/>
      <c r="H3" s="4"/>
      <c r="I3" s="4"/>
      <c r="J3" s="4"/>
      <c r="O3" s="24"/>
    </row>
    <row r="4" spans="1:15" ht="17.25" customHeight="1" x14ac:dyDescent="0.35">
      <c r="A4" s="13"/>
      <c r="B4" s="12" t="s">
        <v>0</v>
      </c>
      <c r="C4" s="12"/>
      <c r="D4" s="12"/>
      <c r="E4" s="5"/>
      <c r="F4" s="60" t="s">
        <v>22</v>
      </c>
      <c r="G4" s="8"/>
      <c r="H4" s="6"/>
      <c r="I4" s="51" t="s">
        <v>15</v>
      </c>
      <c r="J4" s="52"/>
      <c r="K4" s="61" t="s">
        <v>23</v>
      </c>
      <c r="L4" s="37"/>
      <c r="M4" s="37"/>
      <c r="N4" s="37"/>
      <c r="O4" s="24"/>
    </row>
    <row r="5" spans="1:15" ht="17.25" customHeight="1" x14ac:dyDescent="0.35">
      <c r="A5" s="13"/>
      <c r="B5" s="12" t="s">
        <v>11</v>
      </c>
      <c r="C5" s="12"/>
      <c r="D5" s="12"/>
      <c r="E5" s="5"/>
      <c r="F5" s="62" t="s">
        <v>24</v>
      </c>
      <c r="G5" s="15"/>
      <c r="H5" s="6"/>
      <c r="I5" s="6"/>
      <c r="J5" s="6"/>
      <c r="O5" s="24"/>
    </row>
    <row r="6" spans="1:15" ht="13" x14ac:dyDescent="0.3">
      <c r="A6" s="13"/>
      <c r="B6" s="9"/>
      <c r="C6" s="9"/>
      <c r="D6" s="9"/>
      <c r="E6" s="7"/>
      <c r="F6" s="10"/>
      <c r="G6" s="8"/>
      <c r="H6" s="6"/>
      <c r="I6" s="6"/>
      <c r="J6" s="6"/>
      <c r="O6" s="24"/>
    </row>
    <row r="7" spans="1:15" ht="15.75" customHeight="1" x14ac:dyDescent="0.25">
      <c r="A7" s="13"/>
      <c r="B7" s="11" t="s">
        <v>2</v>
      </c>
      <c r="C7" s="11"/>
      <c r="D7" s="11"/>
      <c r="F7" s="63" t="s">
        <v>25</v>
      </c>
      <c r="G7" s="63" t="s">
        <v>26</v>
      </c>
      <c r="H7" s="11"/>
      <c r="I7" s="11"/>
      <c r="J7" s="11"/>
      <c r="O7" s="24"/>
    </row>
    <row r="8" spans="1:15" ht="15.75" customHeight="1" x14ac:dyDescent="0.25">
      <c r="A8" s="13"/>
      <c r="B8" s="6" t="s">
        <v>1</v>
      </c>
      <c r="C8" s="6"/>
      <c r="D8" s="6"/>
      <c r="F8" s="32">
        <f ca="1">TODAY()</f>
        <v>46034</v>
      </c>
      <c r="G8" s="53">
        <f ca="1">NOW()</f>
        <v>46034.646680439815</v>
      </c>
      <c r="H8" s="54"/>
      <c r="I8" s="11"/>
      <c r="J8" s="11"/>
      <c r="O8" s="24"/>
    </row>
    <row r="9" spans="1:15" s="2" customFormat="1" ht="24.75" customHeight="1" x14ac:dyDescent="0.25">
      <c r="A9" s="13"/>
      <c r="B9" s="39" t="s">
        <v>27</v>
      </c>
      <c r="C9" s="41" t="s">
        <v>28</v>
      </c>
      <c r="D9" s="41" t="s">
        <v>35</v>
      </c>
      <c r="E9" s="40" t="s">
        <v>41</v>
      </c>
      <c r="F9" s="40" t="s">
        <v>44</v>
      </c>
      <c r="G9" s="40" t="s">
        <v>52</v>
      </c>
      <c r="H9" s="40" t="s">
        <v>61</v>
      </c>
      <c r="I9" s="41" t="s">
        <v>70</v>
      </c>
      <c r="J9" s="40" t="s">
        <v>79</v>
      </c>
      <c r="K9" s="40" t="s">
        <v>87</v>
      </c>
      <c r="L9" s="41" t="s">
        <v>17</v>
      </c>
      <c r="M9" s="41" t="s">
        <v>18</v>
      </c>
      <c r="N9" s="41" t="s">
        <v>19</v>
      </c>
      <c r="O9" s="41" t="s">
        <v>10</v>
      </c>
    </row>
    <row r="10" spans="1:15" s="2" customFormat="1" ht="13" x14ac:dyDescent="0.25">
      <c r="A10" s="13"/>
      <c r="B10" s="46">
        <v>1</v>
      </c>
      <c r="C10" s="46" t="s">
        <v>29</v>
      </c>
      <c r="D10" s="46" t="s">
        <v>36</v>
      </c>
      <c r="E10" s="47" t="s">
        <v>42</v>
      </c>
      <c r="F10" s="47" t="s">
        <v>45</v>
      </c>
      <c r="G10" s="47" t="s">
        <v>53</v>
      </c>
      <c r="H10" s="47" t="s">
        <v>62</v>
      </c>
      <c r="I10" s="47" t="s">
        <v>71</v>
      </c>
      <c r="J10" s="47" t="s">
        <v>80</v>
      </c>
      <c r="K10" s="47"/>
      <c r="L10" s="49">
        <f>+IF(OR(K10="BGA",K10="FP",K10="TH"),1,IF($K$4*B10&lt;100,5,0))</f>
        <v>5</v>
      </c>
      <c r="M10" s="48">
        <f>+IF(AND(K10="",$K$4*B10&gt;100),0.05,0)</f>
        <v>0</v>
      </c>
      <c r="N10" s="49">
        <f>+ROUNDUP($K$4*B10*M10+L10,0)</f>
        <v>5</v>
      </c>
      <c r="O10" s="42">
        <f>+IF(OR(LEFT(I10&amp;"",1)="C",LEFT(I10&amp;"",1)="R"),ROUNDUP($K$4*B10+N10,-1),$K$4*B10+N10)</f>
        <v>10</v>
      </c>
    </row>
    <row r="11" spans="1:15" s="2" customFormat="1" ht="20.5" x14ac:dyDescent="0.25">
      <c r="A11" s="13"/>
      <c r="B11" s="46">
        <v>1</v>
      </c>
      <c r="C11" s="46" t="s">
        <v>30</v>
      </c>
      <c r="D11" s="46">
        <v>708</v>
      </c>
      <c r="E11" s="47" t="s">
        <v>43</v>
      </c>
      <c r="F11" s="47" t="s">
        <v>46</v>
      </c>
      <c r="G11" s="47" t="s">
        <v>54</v>
      </c>
      <c r="H11" s="47" t="s">
        <v>63</v>
      </c>
      <c r="I11" s="47" t="s">
        <v>72</v>
      </c>
      <c r="J11" s="47" t="s">
        <v>81</v>
      </c>
      <c r="K11" s="47" t="s">
        <v>88</v>
      </c>
      <c r="L11" s="49">
        <f t="shared" ref="L11:L17" si="0">+IF(OR(K11="BGA",K11="FP",K11="TH"),1,IF($K$4*B11&lt;100,5,0))</f>
        <v>5</v>
      </c>
      <c r="M11" s="48">
        <f t="shared" ref="M11:M17" si="1">+IF(AND(K11="",$K$4*B11&gt;100),0.05,0)</f>
        <v>0</v>
      </c>
      <c r="N11" s="49">
        <f t="shared" ref="N11:N17" si="2">+ROUNDUP($K$4*B11*M11+L11,0)</f>
        <v>5</v>
      </c>
      <c r="O11" s="42">
        <f t="shared" ref="O11:O17" si="3">+IF(OR(LEFT(I11&amp;"",1)="C",LEFT(I11&amp;"",1)="R"),ROUNDUP($K$4*B11+N11,-1),$K$4*B11+N11)</f>
        <v>9</v>
      </c>
    </row>
    <row r="12" spans="1:15" s="2" customFormat="1" ht="20.5" x14ac:dyDescent="0.25">
      <c r="A12" s="13"/>
      <c r="B12" s="46">
        <v>1</v>
      </c>
      <c r="C12" s="46" t="s">
        <v>31</v>
      </c>
      <c r="D12" s="46" t="s">
        <v>37</v>
      </c>
      <c r="E12" s="47" t="s">
        <v>43</v>
      </c>
      <c r="F12" s="47" t="s">
        <v>47</v>
      </c>
      <c r="G12" s="47" t="s">
        <v>55</v>
      </c>
      <c r="H12" s="47" t="s">
        <v>64</v>
      </c>
      <c r="I12" s="47" t="s">
        <v>73</v>
      </c>
      <c r="J12" s="47" t="s">
        <v>82</v>
      </c>
      <c r="K12" s="47" t="s">
        <v>89</v>
      </c>
      <c r="L12" s="49">
        <f>+IF(OR(K12="BGA",K12="FP",K12="TH"),1,IF($K$4*B12&lt;100,5,0))</f>
        <v>1</v>
      </c>
      <c r="M12" s="48">
        <f>+IF(AND(K12="",$K$4*B12&gt;100),0.05,0)</f>
        <v>0</v>
      </c>
      <c r="N12" s="49">
        <f>+ROUNDUP($K$4*B12*M12+L12,0)</f>
        <v>1</v>
      </c>
      <c r="O12" s="42">
        <f>+IF(OR(LEFT(I12&amp;"",1)="C",LEFT(I12&amp;"",1)="R"),ROUNDUP($K$4*B12+N12,-1),$K$4*B12+N12)</f>
        <v>5</v>
      </c>
    </row>
    <row r="13" spans="1:15" s="2" customFormat="1" ht="20.5" x14ac:dyDescent="0.25">
      <c r="A13" s="13"/>
      <c r="B13" s="46">
        <v>1</v>
      </c>
      <c r="C13" s="46" t="s">
        <v>32</v>
      </c>
      <c r="D13" s="46" t="s">
        <v>38</v>
      </c>
      <c r="E13" s="47" t="s">
        <v>42</v>
      </c>
      <c r="F13" s="47" t="s">
        <v>48</v>
      </c>
      <c r="G13" s="47" t="s">
        <v>56</v>
      </c>
      <c r="H13" s="47" t="s">
        <v>65</v>
      </c>
      <c r="I13" s="47" t="s">
        <v>74</v>
      </c>
      <c r="J13" s="47" t="s">
        <v>83</v>
      </c>
      <c r="K13" s="47" t="s">
        <v>89</v>
      </c>
      <c r="L13" s="49">
        <f t="shared" ref="L13" si="4">+IF(OR(K13="BGA",K13="FP",K13="TH"),1,IF($K$4*B13&lt;100,5,0))</f>
        <v>1</v>
      </c>
      <c r="M13" s="48">
        <f t="shared" ref="M13" si="5">+IF(AND(K13="",$K$4*B13&gt;100),0.05,0)</f>
        <v>0</v>
      </c>
      <c r="N13" s="49">
        <f t="shared" ref="N13" si="6">+ROUNDUP($K$4*B13*M13+L13,0)</f>
        <v>1</v>
      </c>
      <c r="O13" s="42">
        <f t="shared" ref="O13" si="7">+IF(OR(LEFT(I13&amp;"",1)="C",LEFT(I13&amp;"",1)="R"),ROUNDUP($K$4*B13+N13,-1),$K$4*B13+N13)</f>
        <v>5</v>
      </c>
    </row>
    <row r="14" spans="1:15" s="2" customFormat="1" ht="20.5" x14ac:dyDescent="0.25">
      <c r="A14" s="13"/>
      <c r="B14" s="46">
        <v>1</v>
      </c>
      <c r="C14" s="46" t="s">
        <v>33</v>
      </c>
      <c r="D14" s="46" t="s">
        <v>39</v>
      </c>
      <c r="E14" s="47" t="s">
        <v>43</v>
      </c>
      <c r="F14" s="47" t="s">
        <v>49</v>
      </c>
      <c r="G14" s="47" t="s">
        <v>57</v>
      </c>
      <c r="H14" s="47" t="s">
        <v>66</v>
      </c>
      <c r="I14" s="47" t="s">
        <v>75</v>
      </c>
      <c r="J14" s="47" t="s">
        <v>84</v>
      </c>
      <c r="K14" s="47" t="s">
        <v>89</v>
      </c>
      <c r="L14" s="49">
        <f>+IF(OR(K14="BGA",K14="FP",K14="TH"),1,IF($K$4*B14&lt;100,5,0))</f>
        <v>1</v>
      </c>
      <c r="M14" s="48">
        <f>+IF(AND(K14="",$K$4*B14&gt;100),0.05,0)</f>
        <v>0</v>
      </c>
      <c r="N14" s="49">
        <f>+ROUNDUP($K$4*B14*M14+L14,0)</f>
        <v>1</v>
      </c>
      <c r="O14" s="42">
        <f>+IF(OR(LEFT(I14&amp;"",1)="C",LEFT(I14&amp;"",1)="R"),ROUNDUP($K$4*B14+N14,-1),$K$4*B14+N14)</f>
        <v>5</v>
      </c>
    </row>
    <row r="15" spans="1:15" s="2" customFormat="1" ht="13" x14ac:dyDescent="0.25">
      <c r="A15" s="13"/>
      <c r="B15" s="46">
        <v>1</v>
      </c>
      <c r="C15" s="46"/>
      <c r="D15" s="46"/>
      <c r="E15" s="47"/>
      <c r="F15" s="47"/>
      <c r="G15" s="47" t="s">
        <v>58</v>
      </c>
      <c r="H15" s="47" t="s">
        <v>67</v>
      </c>
      <c r="I15" s="47" t="s">
        <v>76</v>
      </c>
      <c r="J15" s="47" t="s">
        <v>85</v>
      </c>
      <c r="K15" s="47"/>
      <c r="L15" s="49">
        <f t="shared" ref="L15:L17" si="8">+IF(OR(K15="BGA",K15="FP",K15="TH"),1,IF($K$4*B15&lt;100,5,0))</f>
        <v>5</v>
      </c>
      <c r="M15" s="48">
        <f t="shared" ref="M15:M17" si="9">+IF(AND(K15="",$K$4*B15&gt;100),0.05,0)</f>
        <v>0</v>
      </c>
      <c r="N15" s="49">
        <f t="shared" ref="N15:N17" si="10">+ROUNDUP($K$4*B15*M15+L15,0)</f>
        <v>5</v>
      </c>
      <c r="O15" s="42">
        <f t="shared" ref="O15:O17" si="11">+IF(OR(LEFT(I15&amp;"",1)="C",LEFT(I15&amp;"",1)="R"),ROUNDUP($K$4*B15+N15,-1),$K$4*B15+N15)</f>
        <v>10</v>
      </c>
    </row>
    <row r="16" spans="1:15" s="2" customFormat="1" ht="13" x14ac:dyDescent="0.25">
      <c r="A16" s="13"/>
      <c r="B16" s="46">
        <v>2</v>
      </c>
      <c r="C16" s="46" t="s">
        <v>34</v>
      </c>
      <c r="D16" s="46">
        <v>732517040</v>
      </c>
      <c r="E16" s="47" t="s">
        <v>43</v>
      </c>
      <c r="F16" s="47" t="s">
        <v>50</v>
      </c>
      <c r="G16" s="47" t="s">
        <v>59</v>
      </c>
      <c r="H16" s="47" t="s">
        <v>68</v>
      </c>
      <c r="I16" s="47" t="s">
        <v>77</v>
      </c>
      <c r="J16" s="47" t="s">
        <v>59</v>
      </c>
      <c r="K16" s="47" t="s">
        <v>89</v>
      </c>
      <c r="L16" s="49">
        <f>+IF(OR(K16="BGA",K16="FP",K16="TH"),1,IF($K$4*B16&lt;100,5,0))</f>
        <v>1</v>
      </c>
      <c r="M16" s="48">
        <f>+IF(AND(K16="",$K$4*B16&gt;100),0.05,0)</f>
        <v>0</v>
      </c>
      <c r="N16" s="49">
        <f>+ROUNDUP($K$4*B16*M16+L16,0)</f>
        <v>1</v>
      </c>
      <c r="O16" s="42">
        <f>+IF(OR(LEFT(I16&amp;"",1)="C",LEFT(I16&amp;"",1)="R"),ROUNDUP($K$4*B16+N16,-1),$K$4*B16+N16)</f>
        <v>9</v>
      </c>
    </row>
    <row r="17" spans="1:15" x14ac:dyDescent="0.25">
      <c r="A17" s="13"/>
      <c r="B17" s="46">
        <v>6</v>
      </c>
      <c r="C17" s="46" t="s">
        <v>33</v>
      </c>
      <c r="D17" s="46" t="s">
        <v>40</v>
      </c>
      <c r="E17" s="47" t="s">
        <v>43</v>
      </c>
      <c r="F17" s="47" t="s">
        <v>51</v>
      </c>
      <c r="G17" s="47" t="s">
        <v>60</v>
      </c>
      <c r="H17" s="47" t="s">
        <v>69</v>
      </c>
      <c r="I17" s="47" t="s">
        <v>78</v>
      </c>
      <c r="J17" s="47" t="s">
        <v>86</v>
      </c>
      <c r="K17" s="47" t="s">
        <v>89</v>
      </c>
      <c r="L17" s="49">
        <f t="shared" ref="L17" si="12">+IF(OR(K17="BGA",K17="FP",K17="TH"),1,IF($K$4*B17&lt;100,5,0))</f>
        <v>1</v>
      </c>
      <c r="M17" s="48">
        <f t="shared" ref="M17" si="13">+IF(AND(K17="",$K$4*B17&gt;100),0.05,0)</f>
        <v>0</v>
      </c>
      <c r="N17" s="49">
        <f t="shared" ref="N17" si="14">+ROUNDUP($K$4*B17*M17+L17,0)</f>
        <v>1</v>
      </c>
      <c r="O17" s="42">
        <f t="shared" ref="O17" si="15">+IF(OR(LEFT(I17&amp;"",1)="C",LEFT(I17&amp;"",1)="R"),ROUNDUP($K$4*B17+N17,-1),$K$4*B17+N17)</f>
        <v>25</v>
      </c>
    </row>
    <row r="18" spans="1:15" x14ac:dyDescent="0.25">
      <c r="A18" s="14"/>
      <c r="B18" s="43">
        <f>SUM(B10:B17)</f>
        <v>14</v>
      </c>
      <c r="C18" s="50"/>
      <c r="D18" s="50"/>
      <c r="E18" s="44" t="s">
        <v>9</v>
      </c>
      <c r="F18" s="44"/>
      <c r="G18" s="44"/>
      <c r="H18" s="44"/>
      <c r="I18" s="45"/>
      <c r="J18" s="45"/>
      <c r="K18" s="44"/>
      <c r="L18" s="45"/>
      <c r="M18" s="45"/>
      <c r="N18" s="45"/>
      <c r="O18" s="45"/>
    </row>
    <row r="19" spans="1:15" x14ac:dyDescent="0.25">
      <c r="B19" s="1"/>
      <c r="C19" s="1"/>
      <c r="D19" s="1"/>
      <c r="E19" s="1"/>
    </row>
    <row r="20" spans="1:15" x14ac:dyDescent="0.25">
      <c r="B20" s="1"/>
      <c r="C20" s="1"/>
      <c r="D20" s="1"/>
      <c r="E20" s="1"/>
    </row>
    <row r="21" spans="1:15" x14ac:dyDescent="0.25">
      <c r="B21" s="1"/>
      <c r="C21" s="1"/>
      <c r="D21" s="1"/>
      <c r="E21" s="1"/>
    </row>
    <row r="22" spans="1:15" ht="17.5" x14ac:dyDescent="0.25">
      <c r="B22" s="1"/>
      <c r="C22" s="1"/>
      <c r="D22" s="1"/>
      <c r="E22" s="55" t="s">
        <v>8</v>
      </c>
      <c r="F22" s="56"/>
      <c r="G22" s="57"/>
      <c r="H22" s="20"/>
      <c r="I22" s="21"/>
    </row>
    <row r="23" spans="1:15" x14ac:dyDescent="0.25">
      <c r="E23" s="33" t="s">
        <v>3</v>
      </c>
      <c r="F23" s="34"/>
      <c r="G23" s="35">
        <f>COUNT(B10:B17)</f>
        <v>8</v>
      </c>
    </row>
    <row r="24" spans="1:15" x14ac:dyDescent="0.25">
      <c r="E24" s="16" t="s">
        <v>4</v>
      </c>
      <c r="F24" s="30"/>
      <c r="G24" s="28">
        <f>SUMIF($K$10:$K$17, "", $B$10:$B$17)</f>
        <v>2</v>
      </c>
    </row>
    <row r="25" spans="1:15" x14ac:dyDescent="0.25">
      <c r="E25" s="33" t="s">
        <v>5</v>
      </c>
      <c r="F25" s="34"/>
      <c r="G25" s="36">
        <f>SUMIF($K$10:$K$17, "TH", $B$10:$B$17)</f>
        <v>11</v>
      </c>
    </row>
    <row r="26" spans="1:15" x14ac:dyDescent="0.25">
      <c r="E26" s="16" t="s">
        <v>6</v>
      </c>
      <c r="F26" s="30"/>
      <c r="G26" s="28">
        <f>SUMIF($K$10:$K$17, "FP", $B$10:$B$17)</f>
        <v>0</v>
      </c>
    </row>
    <row r="27" spans="1:15" x14ac:dyDescent="0.25">
      <c r="E27" s="33" t="s">
        <v>7</v>
      </c>
      <c r="F27" s="34"/>
      <c r="G27" s="36">
        <f>SUMIF($K$10:$K$17, "BGA", $B$10:$B$17)</f>
        <v>0</v>
      </c>
    </row>
    <row r="28" spans="1:15" x14ac:dyDescent="0.25">
      <c r="E28" s="27" t="s">
        <v>16</v>
      </c>
      <c r="F28" s="31"/>
      <c r="G28" s="29">
        <f>SUMIF($K$10:$K$17, "M", $B$10:$B$17)</f>
        <v>1</v>
      </c>
    </row>
  </sheetData>
  <mergeCells count="3">
    <mergeCell ref="I4:J4"/>
    <mergeCell ref="G8:H8"/>
    <mergeCell ref="E22:G22"/>
  </mergeCells>
  <phoneticPr fontId="0" type="noConversion"/>
  <conditionalFormatting sqref="B10:N17">
    <cfRule type="expression" dxfId="1" priority="1" stopIfTrue="1">
      <formula>MOD(ROW(),2)=1</formula>
    </cfRule>
    <cfRule type="expression" dxfId="0" priority="2" stopIfTrue="1">
      <formula>MMOD(ROW(),2)=0</formula>
    </cfRule>
  </conditionalFormatting>
  <pageMargins left="0.46" right="0.36" top="0.57999999999999996" bottom="1" header="0.5" footer="0.5"/>
  <pageSetup scale="79" fitToHeight="99" orientation="landscape" horizontalDpi="200" verticalDpi="200" r:id="rId1"/>
  <headerFooter alignWithMargins="0">
    <oddFooter>&amp;L&amp;"Arial,Bold"LIGO&amp;C&amp;D&amp;RPage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LIGO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Sigg</cp:lastModifiedBy>
  <cp:lastPrinted>2007-03-08T22:58:03Z</cp:lastPrinted>
  <dcterms:created xsi:type="dcterms:W3CDTF">2002-11-05T15:28:02Z</dcterms:created>
  <dcterms:modified xsi:type="dcterms:W3CDTF">2026-01-12T23:31:13Z</dcterms:modified>
</cp:coreProperties>
</file>